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jekte\80_Koordinierungsstelle Netzwerk Leipziger Freiheit\08 OUTPUT\J_KV LWB\Kalkulation Kostenmiete\"/>
    </mc:Choice>
  </mc:AlternateContent>
  <bookViews>
    <workbookView xWindow="0" yWindow="0" windowWidth="28800" windowHeight="12135"/>
  </bookViews>
  <sheets>
    <sheet name="Kalkulation" sheetId="4" r:id="rId1"/>
  </sheets>
  <definedNames>
    <definedName name="_xlnm.Print_Area" localSheetId="0">Kalkulation!$C$1:$J$77</definedName>
    <definedName name="_xlnm.Print_Titles" localSheetId="0">Kalkulation!$1:$1</definedName>
    <definedName name="Übernahme_Instandhaltungen">Kalkulation!$E$35:$E$35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 l="1"/>
  <c r="D17" i="4"/>
  <c r="D21" i="4" s="1"/>
  <c r="E25" i="4" s="1"/>
  <c r="E26" i="4" s="1"/>
  <c r="E42" i="4" l="1"/>
  <c r="E51" i="4"/>
  <c r="E43" i="4"/>
  <c r="E38" i="4" l="1"/>
  <c r="E46" i="4"/>
  <c r="H7" i="4"/>
  <c r="F26" i="4"/>
  <c r="D23" i="4"/>
  <c r="D9" i="4"/>
  <c r="J7" i="4" l="1"/>
  <c r="F9" i="4"/>
  <c r="E9" i="4"/>
  <c r="D27" i="4"/>
  <c r="F27" i="4" s="1"/>
  <c r="D50" i="4" l="1"/>
  <c r="E50" i="4" s="1"/>
  <c r="E39" i="4"/>
  <c r="E41" i="4" s="1"/>
  <c r="E37" i="4" s="1"/>
  <c r="H8" i="4"/>
  <c r="H9" i="4" l="1"/>
  <c r="E47" i="4"/>
  <c r="E49" i="4" s="1"/>
  <c r="E45" i="4" s="1"/>
  <c r="E27" i="4" l="1"/>
  <c r="E35" i="4" s="1"/>
  <c r="E32" i="4"/>
  <c r="E29" i="4" l="1"/>
  <c r="E56" i="4" s="1"/>
  <c r="E33" i="4"/>
  <c r="D33" i="4" s="1"/>
  <c r="D32" i="4"/>
  <c r="E57" i="4" l="1"/>
  <c r="D63" i="4" s="1"/>
  <c r="D65" i="4" l="1"/>
  <c r="D64" i="4"/>
  <c r="D62" i="4"/>
</calcChain>
</file>

<file path=xl/sharedStrings.xml><?xml version="1.0" encoding="utf-8"?>
<sst xmlns="http://schemas.openxmlformats.org/spreadsheetml/2006/main" count="85" uniqueCount="75">
  <si>
    <t>Eingabefelder</t>
  </si>
  <si>
    <t>Nutzung</t>
  </si>
  <si>
    <t>Instandhaltungskosten</t>
  </si>
  <si>
    <t>Annuität</t>
  </si>
  <si>
    <t>Objekt</t>
  </si>
  <si>
    <t>Musterstraße 1</t>
  </si>
  <si>
    <t>Darlehenszinssatz</t>
  </si>
  <si>
    <t>nein</t>
  </si>
  <si>
    <t>1-Raum Wohnung</t>
  </si>
  <si>
    <t>2-Raum Wohnung</t>
  </si>
  <si>
    <t>3-Raum Wohnung</t>
  </si>
  <si>
    <t>4-Raum Wohnung</t>
  </si>
  <si>
    <t>Monatliche Kostenmiete</t>
  </si>
  <si>
    <t>Anfangstilgungsrate</t>
  </si>
  <si>
    <t>Eigenkapital</t>
  </si>
  <si>
    <t>Mietausfallwagnis</t>
  </si>
  <si>
    <t>Fremdkapital</t>
  </si>
  <si>
    <t>Instandhaltungskostenpauschale</t>
  </si>
  <si>
    <t>Übernahme von kleinen Instandhaltungen durch Mieter</t>
  </si>
  <si>
    <t>Grundstückswert</t>
  </si>
  <si>
    <t>Erbbauzins</t>
  </si>
  <si>
    <t>- Eigenleistungen</t>
  </si>
  <si>
    <t>Gesamtbaukosten (brutto)</t>
  </si>
  <si>
    <t>Gewerbe</t>
  </si>
  <si>
    <t>Einheiten</t>
  </si>
  <si>
    <t>Wohnraum</t>
  </si>
  <si>
    <t>Mietpreis</t>
  </si>
  <si>
    <t>davon vermieteter Wohnraum für "besondere Gruppen" (z.B. sozial geförderter Wohnraum)</t>
  </si>
  <si>
    <t>Übernahme der Instandhaltungskosten</t>
  </si>
  <si>
    <t>Anteil</t>
  </si>
  <si>
    <t>Summe Fläche und Einheiten</t>
  </si>
  <si>
    <t>Erbpachtzinsen (pro Jahr)</t>
  </si>
  <si>
    <t>Jährlich erforderliche Mietkosten</t>
  </si>
  <si>
    <t>Monatlich erforderliche Mietkosten €/m²</t>
  </si>
  <si>
    <t>II. Berechnungsverordnung</t>
  </si>
  <si>
    <t>Mietausfallwagnis (vermieteter Wohnraum)</t>
  </si>
  <si>
    <t>&lt; 22 Jahre B. d. Whg.</t>
  </si>
  <si>
    <t>Verwaltungskosten</t>
  </si>
  <si>
    <t>B. d. Whg. = Bezugsfertigkeit der Wohnung</t>
  </si>
  <si>
    <t>≥ 22 Jahre bis &lt; 32 Jahre B. d. Whg.</t>
  </si>
  <si>
    <t>≥ 32 Jahre B. d. Whg.</t>
  </si>
  <si>
    <t>-</t>
  </si>
  <si>
    <t>Plausibilisierung der Mietkalkulation</t>
  </si>
  <si>
    <t>BGF</t>
  </si>
  <si>
    <t>Miefläche/
Nutzfläche</t>
  </si>
  <si>
    <t>Mieteinnahmen, monatlich</t>
  </si>
  <si>
    <t>Betrachtungszeitraum für die Finanzierung</t>
  </si>
  <si>
    <t>A. Grundlegenden Daten</t>
  </si>
  <si>
    <t>B. Investition</t>
  </si>
  <si>
    <t>C. Gesamtfinanzierungsbedarf</t>
  </si>
  <si>
    <t>D. Finanzierung</t>
  </si>
  <si>
    <t>E. Bewirtschaftungskosten Wohnen (pro Jahr)</t>
  </si>
  <si>
    <t>F. Bewirtschaftungskosten Gewerbe (pro Jahr)</t>
  </si>
  <si>
    <r>
      <t xml:space="preserve">G. Ergebnis </t>
    </r>
    <r>
      <rPr>
        <sz val="10"/>
        <color theme="1"/>
        <rFont val="Calibri"/>
        <family val="2"/>
        <scheme val="minor"/>
      </rPr>
      <t>(für nicht vermietete Wohnungen)</t>
    </r>
  </si>
  <si>
    <t>Bezüge</t>
  </si>
  <si>
    <t>- jährl. Zuschuss sozial geförderter Wohnraum
  bei einer Angebotsmiete i.H.v. 10 €</t>
  </si>
  <si>
    <t>Baukosten €/m²</t>
  </si>
  <si>
    <t>D20 = Mietfläche/Nutzfläche für vermieteten Wohnraum für "besondere Gruppen" (E7) x Angebotsmiete 10 € -  Mietpreis (G7) x 12 x Wohneinheiten für vermieteten Wohnraum für "besondere Gruppen" (F7)</t>
  </si>
  <si>
    <r>
      <t xml:space="preserve">D18 = Summe BGF (D9) x Baukosten je m² </t>
    </r>
    <r>
      <rPr>
        <u/>
        <sz val="10"/>
        <color theme="1"/>
        <rFont val="Calibri"/>
        <family val="2"/>
        <scheme val="minor"/>
      </rPr>
      <t>BGF</t>
    </r>
    <r>
      <rPr>
        <sz val="10"/>
        <color theme="1"/>
        <rFont val="Calibri"/>
        <family val="2"/>
        <scheme val="minor"/>
      </rPr>
      <t xml:space="preserve"> (D17)</t>
    </r>
  </si>
  <si>
    <t>F23 = Baukosten je m² BGF (D17) x Eigenkapital-Anteil (D24)</t>
  </si>
  <si>
    <t>F23 = Baukosten je m² BGF (D17) x Fremdkapital-Anteil (D23)</t>
  </si>
  <si>
    <t>Summe Kosten</t>
  </si>
  <si>
    <t>E26 = Fremdkapital Annuität (E29) + Eigenkapitalkosten (E32) + Rücklage (E34)</t>
  </si>
  <si>
    <t>E29 = Fremdkapitalkosten (E23) x ((((1+D28)^D14)*D28)/(((1+D28)^D14)-1))</t>
  </si>
  <si>
    <t>Eigenkapitalverzinsung</t>
  </si>
  <si>
    <t>E32 = Eigenkapital (E24) x Zinssatz der Zinsen (D32)</t>
  </si>
  <si>
    <t>E34 = Mietausfallwagnis (E35) + Instandhaltungskosten (E38) + Verwaltungskosten (E39) + Abschreibungskosten Anteil Wohnen (E40)</t>
  </si>
  <si>
    <t>E42 = Mietausfallwagnis (E43) + Instandhaltungskosten (E46) + Verwaltungskosten (E47) + Abschreibungskosten Anteil Gewerbe (E48)</t>
  </si>
  <si>
    <t>Rücklage</t>
  </si>
  <si>
    <t>Stellplatzablöse</t>
  </si>
  <si>
    <r>
      <t xml:space="preserve">Baukosten (KG 200 - 700) je m² </t>
    </r>
    <r>
      <rPr>
        <u/>
        <sz val="10"/>
        <rFont val="Calibri"/>
        <family val="2"/>
        <scheme val="minor"/>
      </rPr>
      <t>BGF</t>
    </r>
  </si>
  <si>
    <t>Rücklage Wohnen</t>
  </si>
  <si>
    <t>Anzahl der abzulösenden Stellplätze</t>
  </si>
  <si>
    <t>Zone für Stellplatzablöse</t>
  </si>
  <si>
    <t>Rücklage Gewerbe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</si>
</sst>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0&quot; Jahre&quot;"/>
    <numFmt numFmtId="167" formatCode="#,##0\ &quot;m²&quot;"/>
    <numFmt numFmtId="168" formatCode="#,##0.00\ &quot;€/m²&quot;"/>
    <numFmt numFmtId="169" formatCode="#,##0\ &quot;WE&quot;"/>
    <numFmt numFmtId="170" formatCode="#,##0.00\ &quot;m²&quot;"/>
    <numFmt numFmtId="171" formatCode="#,##0\ &quot;GE&quot;"/>
    <numFmt numFmtId="172" formatCode="0.000%"/>
    <numFmt numFmtId="173" formatCode="_-* #,##0\ &quot;€&quot;_-;\-* #,##0\ &quot;€&quot;_-;_-* &quot;-&quot;??\ &quot;€&quot;_-;_-@_-"/>
    <numFmt numFmtId="174" formatCode="#,##0\ &quot;€/m²&quot;"/>
    <numFmt numFmtId="175" formatCode="#,##0.00\ &quot;€/Whg.&quot;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2E5A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002E5A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EF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C7C2B3"/>
      </left>
      <right style="thin">
        <color rgb="FFC7C2B3"/>
      </right>
      <top style="thin">
        <color rgb="FFC7C2B3"/>
      </top>
      <bottom style="thin">
        <color rgb="FFC7C2B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righ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0" fillId="0" borderId="0" xfId="0" applyFont="1" applyBorder="1"/>
    <xf numFmtId="0" fontId="6" fillId="0" borderId="0" xfId="0" applyFont="1" applyFill="1" applyAlignment="1">
      <alignment horizontal="left" vertical="center" indent="1"/>
    </xf>
    <xf numFmtId="165" fontId="6" fillId="0" borderId="1" xfId="0" applyNumberFormat="1" applyFont="1" applyFill="1" applyBorder="1" applyAlignment="1">
      <alignment horizontal="right" vertical="center" indent="1"/>
    </xf>
    <xf numFmtId="172" fontId="6" fillId="0" borderId="0" xfId="3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9" fontId="6" fillId="0" borderId="0" xfId="3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left" vertical="center" indent="1"/>
    </xf>
    <xf numFmtId="10" fontId="7" fillId="2" borderId="4" xfId="3" applyNumberFormat="1" applyFont="1" applyFill="1" applyBorder="1" applyAlignment="1">
      <alignment horizontal="right" vertical="center" indent="1"/>
    </xf>
    <xf numFmtId="165" fontId="7" fillId="2" borderId="4" xfId="0" applyNumberFormat="1" applyFont="1" applyFill="1" applyBorder="1" applyAlignment="1">
      <alignment horizontal="right" vertical="center" inden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167" fontId="7" fillId="2" borderId="9" xfId="0" applyNumberFormat="1" applyFont="1" applyFill="1" applyBorder="1" applyAlignment="1">
      <alignment horizontal="right" vertical="center" indent="1"/>
    </xf>
    <xf numFmtId="0" fontId="7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65" fontId="6" fillId="0" borderId="0" xfId="0" applyNumberFormat="1" applyFont="1" applyFill="1" applyBorder="1" applyAlignment="1">
      <alignment horizontal="right" vertical="center" indent="1"/>
    </xf>
    <xf numFmtId="0" fontId="7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" fontId="7" fillId="2" borderId="9" xfId="0" applyNumberFormat="1" applyFont="1" applyFill="1" applyBorder="1" applyAlignment="1">
      <alignment horizontal="right" vertical="center" indent="1"/>
    </xf>
    <xf numFmtId="168" fontId="11" fillId="3" borderId="6" xfId="2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right" vertical="center" indent="1"/>
    </xf>
    <xf numFmtId="0" fontId="5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righ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right" vertical="center" indent="1"/>
    </xf>
    <xf numFmtId="0" fontId="7" fillId="4" borderId="2" xfId="0" applyFont="1" applyFill="1" applyBorder="1" applyAlignment="1">
      <alignment horizontal="left" vertical="center" indent="1"/>
    </xf>
    <xf numFmtId="0" fontId="6" fillId="4" borderId="7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21" xfId="0" applyFont="1" applyFill="1" applyBorder="1" applyAlignment="1">
      <alignment horizontal="left" vertical="center" wrapText="1" indent="1"/>
    </xf>
    <xf numFmtId="0" fontId="0" fillId="4" borderId="0" xfId="0" applyFont="1" applyFill="1" applyBorder="1"/>
    <xf numFmtId="167" fontId="11" fillId="4" borderId="6" xfId="0" applyNumberFormat="1" applyFont="1" applyFill="1" applyBorder="1" applyAlignment="1">
      <alignment horizontal="right" vertical="center" indent="1"/>
    </xf>
    <xf numFmtId="169" fontId="11" fillId="4" borderId="6" xfId="0" applyNumberFormat="1" applyFont="1" applyFill="1" applyBorder="1" applyAlignment="1">
      <alignment horizontal="right" vertical="center" indent="1"/>
    </xf>
    <xf numFmtId="168" fontId="11" fillId="4" borderId="6" xfId="2" applyNumberFormat="1" applyFont="1" applyFill="1" applyBorder="1" applyAlignment="1">
      <alignment horizontal="right" vertical="center" indent="1"/>
    </xf>
    <xf numFmtId="10" fontId="6" fillId="4" borderId="21" xfId="3" applyNumberFormat="1" applyFont="1" applyFill="1" applyBorder="1" applyAlignment="1">
      <alignment horizontal="right" vertical="center" indent="1"/>
    </xf>
    <xf numFmtId="0" fontId="6" fillId="4" borderId="2" xfId="0" applyFont="1" applyFill="1" applyBorder="1" applyAlignment="1">
      <alignment horizontal="left" vertical="center" wrapText="1" indent="1"/>
    </xf>
    <xf numFmtId="171" fontId="11" fillId="4" borderId="6" xfId="0" applyNumberFormat="1" applyFont="1" applyFill="1" applyBorder="1" applyAlignment="1">
      <alignment horizontal="right" vertical="center" indent="1"/>
    </xf>
    <xf numFmtId="0" fontId="7" fillId="4" borderId="0" xfId="0" applyFont="1" applyFill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1"/>
    </xf>
    <xf numFmtId="10" fontId="7" fillId="4" borderId="0" xfId="3" applyNumberFormat="1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horizontal="left" vertical="center" indent="1"/>
    </xf>
    <xf numFmtId="167" fontId="6" fillId="4" borderId="0" xfId="0" applyNumberFormat="1" applyFont="1" applyFill="1" applyBorder="1" applyAlignment="1">
      <alignment horizontal="right" vertical="center" indent="1"/>
    </xf>
    <xf numFmtId="165" fontId="7" fillId="4" borderId="0" xfId="0" applyNumberFormat="1" applyFont="1" applyFill="1" applyBorder="1" applyAlignment="1">
      <alignment horizontal="right" vertical="center" indent="1"/>
    </xf>
    <xf numFmtId="10" fontId="6" fillId="4" borderId="0" xfId="3" applyNumberFormat="1" applyFont="1" applyFill="1" applyBorder="1" applyAlignment="1">
      <alignment horizontal="right" vertical="center" indent="1"/>
    </xf>
    <xf numFmtId="0" fontId="7" fillId="4" borderId="3" xfId="0" applyFont="1" applyFill="1" applyBorder="1" applyAlignment="1">
      <alignment horizontal="left" vertical="center" indent="1"/>
    </xf>
    <xf numFmtId="165" fontId="11" fillId="4" borderId="5" xfId="0" applyNumberFormat="1" applyFont="1" applyFill="1" applyBorder="1" applyAlignment="1">
      <alignment horizontal="right" vertical="center" indent="1"/>
    </xf>
    <xf numFmtId="10" fontId="6" fillId="4" borderId="7" xfId="3" applyNumberFormat="1" applyFont="1" applyFill="1" applyBorder="1" applyAlignment="1">
      <alignment horizontal="right" vertical="center" indent="1"/>
    </xf>
    <xf numFmtId="0" fontId="7" fillId="4" borderId="23" xfId="0" applyFont="1" applyFill="1" applyBorder="1" applyAlignment="1">
      <alignment horizontal="left" vertical="center" indent="1"/>
    </xf>
    <xf numFmtId="10" fontId="11" fillId="4" borderId="24" xfId="3" applyNumberFormat="1" applyFont="1" applyFill="1" applyBorder="1" applyAlignment="1">
      <alignment horizontal="right" vertical="center" indent="1"/>
    </xf>
    <xf numFmtId="0" fontId="3" fillId="4" borderId="2" xfId="0" applyFont="1" applyFill="1" applyBorder="1" applyAlignment="1">
      <alignment horizontal="left" vertical="center" wrapText="1" indent="1"/>
    </xf>
    <xf numFmtId="174" fontId="11" fillId="4" borderId="7" xfId="2" applyNumberFormat="1" applyFont="1" applyFill="1" applyBorder="1" applyAlignment="1">
      <alignment horizontal="right" vertical="center" indent="1"/>
    </xf>
    <xf numFmtId="174" fontId="6" fillId="4" borderId="0" xfId="2" applyNumberFormat="1" applyFont="1" applyFill="1" applyBorder="1" applyAlignment="1">
      <alignment vertical="center"/>
    </xf>
    <xf numFmtId="165" fontId="13" fillId="4" borderId="7" xfId="0" applyNumberFormat="1" applyFont="1" applyFill="1" applyBorder="1" applyAlignment="1">
      <alignment horizontal="right" vertical="center" indent="1"/>
    </xf>
    <xf numFmtId="165" fontId="11" fillId="4" borderId="7" xfId="0" applyNumberFormat="1" applyFont="1" applyFill="1" applyBorder="1" applyAlignment="1">
      <alignment horizontal="right" vertical="center" indent="1"/>
    </xf>
    <xf numFmtId="0" fontId="6" fillId="4" borderId="8" xfId="0" quotePrefix="1" applyFont="1" applyFill="1" applyBorder="1" applyAlignment="1">
      <alignment horizontal="left" vertical="center" wrapText="1" indent="1"/>
    </xf>
    <xf numFmtId="165" fontId="3" fillId="4" borderId="10" xfId="0" applyNumberFormat="1" applyFont="1" applyFill="1" applyBorder="1" applyAlignment="1">
      <alignment horizontal="right" vertical="center" indent="1"/>
    </xf>
    <xf numFmtId="10" fontId="11" fillId="4" borderId="6" xfId="3" applyNumberFormat="1" applyFont="1" applyFill="1" applyBorder="1" applyAlignment="1">
      <alignment horizontal="right" vertical="center" indent="1"/>
    </xf>
    <xf numFmtId="165" fontId="6" fillId="4" borderId="6" xfId="0" applyNumberFormat="1" applyFont="1" applyFill="1" applyBorder="1" applyAlignment="1">
      <alignment horizontal="right" vertical="center" indent="1"/>
    </xf>
    <xf numFmtId="174" fontId="6" fillId="4" borderId="7" xfId="2" applyNumberFormat="1" applyFont="1" applyFill="1" applyBorder="1" applyAlignment="1">
      <alignment horizontal="right" vertical="center" indent="1"/>
    </xf>
    <xf numFmtId="0" fontId="6" fillId="4" borderId="8" xfId="0" applyFont="1" applyFill="1" applyBorder="1" applyAlignment="1">
      <alignment horizontal="left" vertical="center" indent="1"/>
    </xf>
    <xf numFmtId="10" fontId="6" fillId="4" borderId="9" xfId="3" applyNumberFormat="1" applyFont="1" applyFill="1" applyBorder="1" applyAlignment="1">
      <alignment horizontal="right" vertical="center" indent="1"/>
    </xf>
    <xf numFmtId="165" fontId="6" fillId="4" borderId="9" xfId="0" applyNumberFormat="1" applyFont="1" applyFill="1" applyBorder="1" applyAlignment="1">
      <alignment horizontal="right" vertical="center" indent="1"/>
    </xf>
    <xf numFmtId="174" fontId="6" fillId="4" borderId="10" xfId="2" applyNumberFormat="1" applyFont="1" applyFill="1" applyBorder="1" applyAlignment="1">
      <alignment horizontal="right" vertical="center" indent="1"/>
    </xf>
    <xf numFmtId="0" fontId="6" fillId="4" borderId="6" xfId="0" applyFont="1" applyFill="1" applyBorder="1" applyAlignment="1">
      <alignment horizontal="right" vertical="center" indent="1"/>
    </xf>
    <xf numFmtId="0" fontId="6" fillId="4" borderId="7" xfId="0" applyFont="1" applyFill="1" applyBorder="1" applyAlignment="1">
      <alignment horizontal="right" vertical="center" indent="1"/>
    </xf>
    <xf numFmtId="10" fontId="6" fillId="4" borderId="6" xfId="3" applyNumberFormat="1" applyFont="1" applyFill="1" applyBorder="1" applyAlignment="1">
      <alignment horizontal="right" vertical="center" indent="1"/>
    </xf>
    <xf numFmtId="173" fontId="7" fillId="4" borderId="7" xfId="2" applyNumberFormat="1" applyFont="1" applyFill="1" applyBorder="1" applyAlignment="1">
      <alignment horizontal="left" vertical="center" indent="1"/>
    </xf>
    <xf numFmtId="173" fontId="6" fillId="4" borderId="7" xfId="2" applyNumberFormat="1" applyFont="1" applyFill="1" applyBorder="1" applyAlignment="1">
      <alignment horizontal="right" vertical="center" indent="1"/>
    </xf>
    <xf numFmtId="10" fontId="11" fillId="4" borderId="9" xfId="3" applyNumberFormat="1" applyFont="1" applyFill="1" applyBorder="1" applyAlignment="1">
      <alignment horizontal="right" vertical="center" indent="1"/>
    </xf>
    <xf numFmtId="165" fontId="7" fillId="4" borderId="10" xfId="0" applyNumberFormat="1" applyFont="1" applyFill="1" applyBorder="1" applyAlignment="1">
      <alignment horizontal="right" vertical="center" indent="1"/>
    </xf>
    <xf numFmtId="165" fontId="7" fillId="4" borderId="7" xfId="0" applyNumberFormat="1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vertical="center"/>
    </xf>
    <xf numFmtId="168" fontId="12" fillId="4" borderId="6" xfId="2" applyNumberFormat="1" applyFont="1" applyFill="1" applyBorder="1" applyAlignment="1">
      <alignment horizontal="right" vertical="center" indent="1"/>
    </xf>
    <xf numFmtId="165" fontId="6" fillId="4" borderId="7" xfId="0" applyNumberFormat="1" applyFont="1" applyFill="1" applyBorder="1" applyAlignment="1">
      <alignment horizontal="right" vertical="center" indent="1"/>
    </xf>
    <xf numFmtId="0" fontId="6" fillId="4" borderId="7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167" fontId="11" fillId="4" borderId="7" xfId="0" applyNumberFormat="1" applyFont="1" applyFill="1" applyBorder="1" applyAlignment="1">
      <alignment horizontal="right" vertical="center" indent="1"/>
    </xf>
    <xf numFmtId="168" fontId="7" fillId="4" borderId="9" xfId="2" applyNumberFormat="1" applyFont="1" applyFill="1" applyBorder="1" applyAlignment="1">
      <alignment horizontal="right" vertical="center" indent="1"/>
    </xf>
    <xf numFmtId="175" fontId="6" fillId="4" borderId="0" xfId="2" applyNumberFormat="1" applyFont="1" applyFill="1" applyBorder="1" applyAlignment="1">
      <alignment horizontal="left" vertical="center" indent="1"/>
    </xf>
    <xf numFmtId="168" fontId="7" fillId="4" borderId="6" xfId="2" applyNumberFormat="1" applyFont="1" applyFill="1" applyBorder="1" applyAlignment="1">
      <alignment horizontal="right" vertical="center" indent="1"/>
    </xf>
    <xf numFmtId="0" fontId="6" fillId="4" borderId="0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left" vertical="center" indent="1"/>
    </xf>
    <xf numFmtId="165" fontId="7" fillId="4" borderId="15" xfId="0" applyNumberFormat="1" applyFont="1" applyFill="1" applyBorder="1" applyAlignment="1">
      <alignment horizontal="right" vertical="center" indent="1"/>
    </xf>
    <xf numFmtId="165" fontId="7" fillId="4" borderId="16" xfId="0" applyNumberFormat="1" applyFont="1" applyFill="1" applyBorder="1" applyAlignment="1">
      <alignment horizontal="right" vertical="center" indent="1"/>
    </xf>
    <xf numFmtId="168" fontId="7" fillId="4" borderId="10" xfId="2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164" fontId="6" fillId="4" borderId="6" xfId="0" applyNumberFormat="1" applyFont="1" applyFill="1" applyBorder="1" applyAlignment="1">
      <alignment horizontal="right" vertical="center" indent="1"/>
    </xf>
    <xf numFmtId="170" fontId="6" fillId="4" borderId="7" xfId="2" applyNumberFormat="1" applyFont="1" applyFill="1" applyBorder="1" applyAlignment="1">
      <alignment horizontal="right" vertical="center" indent="1"/>
    </xf>
    <xf numFmtId="164" fontId="6" fillId="4" borderId="9" xfId="0" applyNumberFormat="1" applyFont="1" applyFill="1" applyBorder="1" applyAlignment="1">
      <alignment horizontal="right" vertical="center" indent="1"/>
    </xf>
    <xf numFmtId="170" fontId="6" fillId="4" borderId="10" xfId="2" applyNumberFormat="1" applyFont="1" applyFill="1" applyBorder="1" applyAlignment="1">
      <alignment horizontal="right" vertical="center" indent="1"/>
    </xf>
    <xf numFmtId="0" fontId="10" fillId="4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wrapText="1" indent="1"/>
    </xf>
    <xf numFmtId="0" fontId="7" fillId="4" borderId="0" xfId="0" applyFont="1" applyFill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7" fillId="2" borderId="25" xfId="0" applyFont="1" applyFill="1" applyBorder="1" applyAlignment="1">
      <alignment horizontal="left" vertical="center" indent="1"/>
    </xf>
    <xf numFmtId="0" fontId="7" fillId="2" borderId="26" xfId="0" applyFont="1" applyFill="1" applyBorder="1" applyAlignment="1">
      <alignment horizontal="left" vertical="center" indent="1"/>
    </xf>
    <xf numFmtId="0" fontId="7" fillId="2" borderId="27" xfId="0" applyFont="1" applyFill="1" applyBorder="1" applyAlignment="1">
      <alignment horizontal="left" vertical="center" indent="1"/>
    </xf>
    <xf numFmtId="0" fontId="11" fillId="4" borderId="6" xfId="0" applyFont="1" applyFill="1" applyBorder="1" applyAlignment="1">
      <alignment horizontal="left" vertical="center" indent="1"/>
    </xf>
    <xf numFmtId="165" fontId="6" fillId="3" borderId="6" xfId="0" applyNumberFormat="1" applyFont="1" applyFill="1" applyBorder="1" applyAlignment="1">
      <alignment horizontal="right" vertical="center" indent="1"/>
    </xf>
    <xf numFmtId="165" fontId="6" fillId="4" borderId="6" xfId="0" applyNumberFormat="1" applyFont="1" applyFill="1" applyBorder="1" applyAlignment="1">
      <alignment horizontal="right" vertical="center" indent="1"/>
    </xf>
    <xf numFmtId="165" fontId="7" fillId="2" borderId="9" xfId="0" applyNumberFormat="1" applyFont="1" applyFill="1" applyBorder="1" applyAlignment="1">
      <alignment horizontal="right" vertical="center" indent="1"/>
    </xf>
    <xf numFmtId="0" fontId="6" fillId="4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2" borderId="13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left" vertical="center" indent="1"/>
    </xf>
    <xf numFmtId="175" fontId="6" fillId="4" borderId="18" xfId="2" applyNumberFormat="1" applyFont="1" applyFill="1" applyBorder="1" applyAlignment="1">
      <alignment horizontal="left" vertical="center" indent="1"/>
    </xf>
    <xf numFmtId="175" fontId="6" fillId="4" borderId="20" xfId="2" applyNumberFormat="1" applyFont="1" applyFill="1" applyBorder="1" applyAlignment="1">
      <alignment horizontal="left" vertical="center" indent="1"/>
    </xf>
    <xf numFmtId="0" fontId="8" fillId="4" borderId="17" xfId="0" applyFont="1" applyFill="1" applyBorder="1" applyAlignment="1">
      <alignment horizontal="left" vertical="center" indent="1"/>
    </xf>
    <xf numFmtId="0" fontId="8" fillId="4" borderId="21" xfId="0" applyFont="1" applyFill="1" applyBorder="1" applyAlignment="1">
      <alignment horizontal="left" vertical="center" indent="1"/>
    </xf>
    <xf numFmtId="168" fontId="6" fillId="4" borderId="22" xfId="2" applyNumberFormat="1" applyFont="1" applyFill="1" applyBorder="1" applyAlignment="1">
      <alignment horizontal="right" vertical="center" indent="3"/>
    </xf>
    <xf numFmtId="168" fontId="6" fillId="4" borderId="19" xfId="2" applyNumberFormat="1" applyFont="1" applyFill="1" applyBorder="1" applyAlignment="1">
      <alignment horizontal="right" vertical="center" indent="3"/>
    </xf>
    <xf numFmtId="0" fontId="7" fillId="4" borderId="8" xfId="0" applyFont="1" applyFill="1" applyBorder="1" applyAlignment="1">
      <alignment horizontal="left" vertical="center" indent="1"/>
    </xf>
    <xf numFmtId="0" fontId="7" fillId="4" borderId="9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left" vertical="center" wrapText="1" indent="1"/>
    </xf>
    <xf numFmtId="166" fontId="11" fillId="4" borderId="24" xfId="0" applyNumberFormat="1" applyFont="1" applyFill="1" applyBorder="1" applyAlignment="1">
      <alignment horizontal="right" vertical="center" indent="1"/>
    </xf>
    <xf numFmtId="2" fontId="11" fillId="4" borderId="24" xfId="0" applyNumberFormat="1" applyFont="1" applyFill="1" applyBorder="1" applyAlignment="1">
      <alignment horizontal="right" vertical="center" indent="1"/>
    </xf>
    <xf numFmtId="1" fontId="11" fillId="4" borderId="24" xfId="0" applyNumberFormat="1" applyFont="1" applyFill="1" applyBorder="1" applyAlignment="1">
      <alignment horizontal="right" vertical="center" indent="1"/>
    </xf>
    <xf numFmtId="164" fontId="3" fillId="4" borderId="10" xfId="0" applyNumberFormat="1" applyFont="1" applyFill="1" applyBorder="1" applyAlignment="1">
      <alignment horizontal="right" vertical="center" indent="1"/>
    </xf>
  </cellXfs>
  <cellStyles count="4">
    <cellStyle name="Prozent" xfId="3" builtinId="5"/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colors>
    <mruColors>
      <color rgb="FFC7C2B3"/>
      <color rgb="FFCCEEF4"/>
      <color rgb="FF002E5A"/>
      <color rgb="FFE01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topLeftCell="B19" zoomScaleNormal="100" workbookViewId="0">
      <selection activeCell="G31" sqref="G31"/>
    </sheetView>
  </sheetViews>
  <sheetFormatPr baseColWidth="10" defaultRowHeight="15" x14ac:dyDescent="0.25"/>
  <cols>
    <col min="1" max="1" width="63.42578125" style="34" customWidth="1"/>
    <col min="2" max="2" width="3.5703125" style="31" customWidth="1"/>
    <col min="3" max="3" width="40" style="4" customWidth="1"/>
    <col min="4" max="4" width="12.7109375" style="6" bestFit="1" customWidth="1"/>
    <col min="5" max="5" width="13" style="6" customWidth="1"/>
    <col min="6" max="6" width="14.5703125" style="4" customWidth="1"/>
    <col min="7" max="7" width="15.7109375" style="4" customWidth="1"/>
    <col min="8" max="8" width="4.28515625" style="4" customWidth="1"/>
    <col min="9" max="9" width="11.140625" style="4" customWidth="1"/>
    <col min="10" max="10" width="18.7109375" style="4" customWidth="1"/>
    <col min="11" max="11" width="12.140625" style="11" customWidth="1"/>
    <col min="12" max="12" width="0.7109375" style="5" customWidth="1"/>
    <col min="13" max="13" width="24.7109375" style="5" bestFit="1" customWidth="1"/>
    <col min="14" max="14" width="0.7109375" style="4" customWidth="1"/>
    <col min="15" max="15" width="20.85546875" style="4" bestFit="1" customWidth="1"/>
    <col min="16" max="16384" width="11.42578125" style="4"/>
  </cols>
  <sheetData>
    <row r="1" spans="1:14" s="2" customFormat="1" ht="18.75" x14ac:dyDescent="0.25">
      <c r="A1" s="111" t="s">
        <v>54</v>
      </c>
      <c r="B1" s="37"/>
      <c r="C1" s="38" t="s">
        <v>42</v>
      </c>
      <c r="D1" s="37"/>
      <c r="E1" s="37"/>
      <c r="F1" s="37"/>
      <c r="G1" s="39"/>
      <c r="H1" s="37"/>
      <c r="I1" s="37"/>
      <c r="J1" s="39"/>
      <c r="K1" s="40"/>
      <c r="L1" s="1"/>
      <c r="M1" s="3"/>
      <c r="N1" s="1"/>
    </row>
    <row r="2" spans="1:14" ht="9.9499999999999993" customHeight="1" thickBot="1" x14ac:dyDescent="0.3">
      <c r="A2" s="112"/>
      <c r="B2" s="41"/>
      <c r="C2" s="41"/>
      <c r="D2" s="42"/>
      <c r="E2" s="41"/>
      <c r="F2" s="41"/>
      <c r="G2" s="43"/>
      <c r="H2" s="43"/>
      <c r="I2" s="43"/>
      <c r="J2" s="43"/>
      <c r="K2" s="43"/>
      <c r="N2" s="5"/>
    </row>
    <row r="3" spans="1:14" ht="18.95" customHeight="1" x14ac:dyDescent="0.25">
      <c r="A3" s="112"/>
      <c r="B3" s="41"/>
      <c r="C3" s="118" t="s">
        <v>47</v>
      </c>
      <c r="D3" s="119"/>
      <c r="E3" s="119"/>
      <c r="F3" s="119"/>
      <c r="G3" s="119"/>
      <c r="H3" s="119"/>
      <c r="I3" s="119"/>
      <c r="J3" s="120"/>
      <c r="K3" s="44"/>
      <c r="L3" s="7"/>
      <c r="N3" s="7"/>
    </row>
    <row r="4" spans="1:14" ht="18.95" customHeight="1" x14ac:dyDescent="0.25">
      <c r="A4" s="112"/>
      <c r="B4" s="41"/>
      <c r="C4" s="45" t="s">
        <v>4</v>
      </c>
      <c r="D4" s="121" t="s">
        <v>5</v>
      </c>
      <c r="E4" s="121"/>
      <c r="F4" s="121"/>
      <c r="G4" s="121"/>
      <c r="H4" s="125"/>
      <c r="I4" s="125"/>
      <c r="J4" s="46"/>
      <c r="K4" s="43"/>
      <c r="L4" s="9"/>
      <c r="N4" s="9"/>
    </row>
    <row r="5" spans="1:14" ht="27.75" customHeight="1" x14ac:dyDescent="0.25">
      <c r="A5" s="112"/>
      <c r="B5" s="41"/>
      <c r="C5" s="47" t="s">
        <v>1</v>
      </c>
      <c r="D5" s="48" t="s">
        <v>43</v>
      </c>
      <c r="E5" s="49" t="s">
        <v>44</v>
      </c>
      <c r="F5" s="48" t="s">
        <v>24</v>
      </c>
      <c r="G5" s="48" t="s">
        <v>26</v>
      </c>
      <c r="H5" s="142" t="s">
        <v>45</v>
      </c>
      <c r="I5" s="142"/>
      <c r="J5" s="50" t="s">
        <v>29</v>
      </c>
      <c r="K5" s="51"/>
      <c r="L5" s="9"/>
      <c r="N5" s="9"/>
    </row>
    <row r="6" spans="1:14" ht="18.95" customHeight="1" x14ac:dyDescent="0.25">
      <c r="A6" s="112"/>
      <c r="B6" s="41"/>
      <c r="C6" s="45" t="s">
        <v>25</v>
      </c>
      <c r="D6" s="52">
        <v>1176.4705882352941</v>
      </c>
      <c r="E6" s="52">
        <v>1000</v>
      </c>
      <c r="F6" s="53">
        <v>12</v>
      </c>
      <c r="G6" s="33"/>
      <c r="H6" s="122"/>
      <c r="I6" s="122"/>
      <c r="J6" s="55">
        <v>1</v>
      </c>
      <c r="K6" s="51"/>
      <c r="L6" s="9"/>
      <c r="N6" s="9"/>
    </row>
    <row r="7" spans="1:14" ht="30" customHeight="1" x14ac:dyDescent="0.25">
      <c r="A7" s="112"/>
      <c r="B7" s="41"/>
      <c r="C7" s="56" t="s">
        <v>27</v>
      </c>
      <c r="D7" s="52">
        <v>129</v>
      </c>
      <c r="E7" s="52">
        <v>110</v>
      </c>
      <c r="F7" s="53">
        <v>2</v>
      </c>
      <c r="G7" s="54">
        <v>6.5</v>
      </c>
      <c r="H7" s="123">
        <f>+E7*G7</f>
        <v>715</v>
      </c>
      <c r="I7" s="123"/>
      <c r="J7" s="55">
        <f>+E7/$E$6</f>
        <v>0.11</v>
      </c>
      <c r="K7" s="51"/>
      <c r="L7" s="9"/>
      <c r="N7" s="9"/>
    </row>
    <row r="8" spans="1:14" ht="18.95" customHeight="1" x14ac:dyDescent="0.25">
      <c r="A8" s="112"/>
      <c r="B8" s="41"/>
      <c r="C8" s="45" t="s">
        <v>23</v>
      </c>
      <c r="D8" s="52">
        <v>94.117647058823536</v>
      </c>
      <c r="E8" s="52">
        <v>80</v>
      </c>
      <c r="F8" s="57">
        <v>1</v>
      </c>
      <c r="G8" s="54">
        <v>15</v>
      </c>
      <c r="H8" s="123">
        <f>+E8*G8</f>
        <v>1200</v>
      </c>
      <c r="I8" s="123"/>
      <c r="J8" s="46"/>
      <c r="K8" s="51"/>
      <c r="L8" s="9"/>
      <c r="N8" s="9"/>
    </row>
    <row r="9" spans="1:14" s="8" customFormat="1" ht="18.95" customHeight="1" thickBot="1" x14ac:dyDescent="0.3">
      <c r="A9" s="113"/>
      <c r="B9" s="58"/>
      <c r="C9" s="25" t="s">
        <v>30</v>
      </c>
      <c r="D9" s="26">
        <f>D6+D8</f>
        <v>1270.5882352941176</v>
      </c>
      <c r="E9" s="26">
        <f>E6+E8</f>
        <v>1080</v>
      </c>
      <c r="F9" s="32">
        <f>F6+F8</f>
        <v>13</v>
      </c>
      <c r="G9" s="27" t="s">
        <v>41</v>
      </c>
      <c r="H9" s="124">
        <f>+H7+H8</f>
        <v>1915</v>
      </c>
      <c r="I9" s="124"/>
      <c r="J9" s="30" t="s">
        <v>41</v>
      </c>
      <c r="K9" s="60"/>
      <c r="L9" s="10"/>
      <c r="M9" s="7"/>
      <c r="N9" s="10"/>
    </row>
    <row r="10" spans="1:14" s="9" customFormat="1" ht="9.9499999999999993" customHeight="1" thickBot="1" x14ac:dyDescent="0.3">
      <c r="A10" s="114"/>
      <c r="B10" s="43"/>
      <c r="C10" s="61"/>
      <c r="D10" s="62"/>
      <c r="E10" s="43"/>
      <c r="F10" s="43"/>
      <c r="G10" s="63"/>
      <c r="H10" s="63"/>
      <c r="I10" s="43"/>
      <c r="J10" s="43"/>
      <c r="K10" s="64"/>
    </row>
    <row r="11" spans="1:14" ht="18.95" customHeight="1" x14ac:dyDescent="0.25">
      <c r="A11" s="112"/>
      <c r="B11" s="41"/>
      <c r="C11" s="65" t="s">
        <v>19</v>
      </c>
      <c r="D11" s="66">
        <v>395000</v>
      </c>
      <c r="E11" s="41"/>
      <c r="F11" s="41"/>
      <c r="G11" s="43"/>
      <c r="H11" s="43"/>
      <c r="I11" s="43"/>
      <c r="J11" s="43"/>
      <c r="K11" s="43"/>
      <c r="L11" s="9"/>
      <c r="N11" s="9"/>
    </row>
    <row r="12" spans="1:14" ht="18.95" customHeight="1" x14ac:dyDescent="0.25">
      <c r="A12" s="112"/>
      <c r="B12" s="41"/>
      <c r="C12" s="117" t="s">
        <v>20</v>
      </c>
      <c r="D12" s="67">
        <v>0.04</v>
      </c>
      <c r="E12" s="41"/>
      <c r="F12" s="41"/>
      <c r="G12" s="43"/>
      <c r="H12" s="43"/>
      <c r="I12" s="43"/>
      <c r="J12" s="43"/>
      <c r="K12" s="43"/>
      <c r="L12" s="9"/>
      <c r="N12" s="9"/>
    </row>
    <row r="13" spans="1:14" ht="18.95" customHeight="1" x14ac:dyDescent="0.25">
      <c r="A13" s="112"/>
      <c r="B13" s="41"/>
      <c r="C13" s="68" t="s">
        <v>68</v>
      </c>
      <c r="D13" s="69">
        <v>1.4999999999999999E-2</v>
      </c>
      <c r="E13" s="41"/>
      <c r="F13" s="41"/>
      <c r="G13" s="43"/>
      <c r="H13" s="43"/>
      <c r="I13" s="43"/>
      <c r="J13" s="43"/>
      <c r="K13" s="43"/>
      <c r="L13" s="9"/>
      <c r="N13" s="9"/>
    </row>
    <row r="14" spans="1:14" ht="18.95" customHeight="1" x14ac:dyDescent="0.25">
      <c r="A14" s="112"/>
      <c r="B14" s="41"/>
      <c r="C14" s="68" t="s">
        <v>46</v>
      </c>
      <c r="D14" s="143">
        <v>25</v>
      </c>
      <c r="E14" s="41"/>
      <c r="F14" s="41"/>
      <c r="G14" s="43"/>
      <c r="H14" s="41"/>
      <c r="I14" s="41"/>
      <c r="J14" s="43"/>
      <c r="K14" s="43"/>
      <c r="L14" s="9"/>
      <c r="N14" s="9"/>
    </row>
    <row r="15" spans="1:14" s="31" customFormat="1" ht="18.95" customHeight="1" x14ac:dyDescent="0.25">
      <c r="A15" s="112"/>
      <c r="B15" s="116"/>
      <c r="C15" s="68" t="s">
        <v>72</v>
      </c>
      <c r="D15" s="144">
        <v>2</v>
      </c>
      <c r="E15" s="116"/>
      <c r="F15" s="116"/>
      <c r="G15" s="43"/>
      <c r="H15" s="116"/>
      <c r="I15" s="116"/>
      <c r="J15" s="43"/>
      <c r="K15" s="43"/>
      <c r="L15" s="9"/>
      <c r="M15" s="5"/>
      <c r="N15" s="9"/>
    </row>
    <row r="16" spans="1:14" s="31" customFormat="1" ht="18.95" customHeight="1" x14ac:dyDescent="0.25">
      <c r="A16" s="112"/>
      <c r="B16" s="116"/>
      <c r="C16" s="68" t="s">
        <v>73</v>
      </c>
      <c r="D16" s="145">
        <v>3</v>
      </c>
      <c r="E16" s="116"/>
      <c r="F16" s="116"/>
      <c r="G16" s="43"/>
      <c r="H16" s="116"/>
      <c r="I16" s="116"/>
      <c r="J16" s="43"/>
      <c r="K16" s="43"/>
      <c r="L16" s="9"/>
      <c r="M16" s="5"/>
      <c r="N16" s="9"/>
    </row>
    <row r="17" spans="1:14" s="31" customFormat="1" ht="18.95" customHeight="1" thickBot="1" x14ac:dyDescent="0.3">
      <c r="A17" s="112"/>
      <c r="B17" s="116"/>
      <c r="C17" s="115" t="s">
        <v>69</v>
      </c>
      <c r="D17" s="146">
        <f>+IF(D16=3,(D15*4100),IF(D16=2,(D15*8200),IF(D16=1,(D15*10000),0)))</f>
        <v>8200</v>
      </c>
      <c r="E17" s="116"/>
      <c r="F17" s="116"/>
      <c r="G17" s="43"/>
      <c r="H17" s="116"/>
      <c r="I17" s="116"/>
      <c r="J17" s="43"/>
      <c r="K17" s="43"/>
      <c r="L17" s="9"/>
      <c r="M17" s="5"/>
      <c r="N17" s="9"/>
    </row>
    <row r="18" spans="1:14" ht="9.9499999999999993" customHeight="1" thickBot="1" x14ac:dyDescent="0.3">
      <c r="A18" s="112"/>
      <c r="B18" s="41"/>
      <c r="C18" s="41"/>
      <c r="D18" s="42"/>
      <c r="E18" s="43"/>
      <c r="F18" s="43"/>
      <c r="G18" s="41"/>
      <c r="H18" s="43"/>
      <c r="I18" s="43"/>
      <c r="J18" s="41"/>
      <c r="K18" s="43"/>
      <c r="L18" s="9"/>
      <c r="N18" s="12"/>
    </row>
    <row r="19" spans="1:14" s="5" customFormat="1" ht="18.95" customHeight="1" x14ac:dyDescent="0.25">
      <c r="A19" s="114"/>
      <c r="B19" s="43"/>
      <c r="C19" s="20" t="s">
        <v>48</v>
      </c>
      <c r="D19" s="24"/>
      <c r="E19" s="44"/>
      <c r="F19" s="43"/>
      <c r="G19" s="61"/>
      <c r="H19" s="43"/>
      <c r="I19" s="44"/>
      <c r="J19" s="61"/>
      <c r="K19" s="44"/>
      <c r="L19" s="10"/>
      <c r="N19" s="10"/>
    </row>
    <row r="20" spans="1:14" s="5" customFormat="1" ht="18.95" customHeight="1" x14ac:dyDescent="0.25">
      <c r="A20" s="114"/>
      <c r="B20" s="43"/>
      <c r="C20" s="70" t="s">
        <v>70</v>
      </c>
      <c r="D20" s="71">
        <v>1500</v>
      </c>
      <c r="E20" s="72"/>
      <c r="F20" s="43"/>
      <c r="G20" s="61"/>
      <c r="H20" s="43"/>
      <c r="I20" s="44"/>
      <c r="J20" s="61"/>
      <c r="K20" s="44"/>
      <c r="L20" s="10"/>
      <c r="N20" s="10"/>
    </row>
    <row r="21" spans="1:14" s="5" customFormat="1" ht="18.95" customHeight="1" x14ac:dyDescent="0.25">
      <c r="A21" s="114" t="s">
        <v>58</v>
      </c>
      <c r="B21" s="43"/>
      <c r="C21" s="70" t="s">
        <v>22</v>
      </c>
      <c r="D21" s="73">
        <f>(D20*D9)+D17</f>
        <v>1914082.3529411764</v>
      </c>
      <c r="E21" s="43"/>
      <c r="F21" s="43"/>
      <c r="G21" s="43"/>
      <c r="H21" s="43"/>
      <c r="I21" s="51"/>
      <c r="J21" s="43"/>
      <c r="K21" s="51"/>
      <c r="L21" s="9"/>
      <c r="N21" s="9"/>
    </row>
    <row r="22" spans="1:14" s="5" customFormat="1" ht="18.95" customHeight="1" x14ac:dyDescent="0.25">
      <c r="A22" s="114"/>
      <c r="B22" s="43"/>
      <c r="C22" s="47" t="s">
        <v>21</v>
      </c>
      <c r="D22" s="74">
        <v>100000</v>
      </c>
      <c r="E22" s="43"/>
      <c r="F22" s="51"/>
      <c r="G22" s="43"/>
      <c r="H22" s="51"/>
      <c r="I22" s="51"/>
      <c r="J22" s="43"/>
      <c r="K22" s="51"/>
      <c r="L22" s="9"/>
      <c r="N22" s="9"/>
    </row>
    <row r="23" spans="1:14" s="5" customFormat="1" ht="30" customHeight="1" thickBot="1" x14ac:dyDescent="0.3">
      <c r="A23" s="114" t="s">
        <v>57</v>
      </c>
      <c r="B23" s="43"/>
      <c r="C23" s="75" t="s">
        <v>55</v>
      </c>
      <c r="D23" s="76">
        <f>E7*(10-G7)*12*F7</f>
        <v>9240</v>
      </c>
      <c r="E23" s="43"/>
      <c r="F23" s="51"/>
      <c r="G23" s="43"/>
      <c r="H23" s="51"/>
      <c r="I23" s="51"/>
      <c r="J23" s="43"/>
      <c r="K23" s="51"/>
      <c r="L23" s="9"/>
      <c r="N23" s="9"/>
    </row>
    <row r="24" spans="1:14" s="5" customFormat="1" ht="9.9499999999999993" customHeight="1" thickBot="1" x14ac:dyDescent="0.3">
      <c r="A24" s="114"/>
      <c r="B24" s="43"/>
      <c r="C24" s="43"/>
      <c r="D24" s="43"/>
      <c r="E24" s="44"/>
      <c r="F24" s="44"/>
      <c r="G24" s="43"/>
      <c r="H24" s="44"/>
      <c r="I24" s="44"/>
      <c r="J24" s="43"/>
      <c r="K24" s="44"/>
      <c r="L24" s="9"/>
      <c r="N24" s="9"/>
    </row>
    <row r="25" spans="1:14" s="5" customFormat="1" ht="18.95" customHeight="1" x14ac:dyDescent="0.25">
      <c r="A25" s="114"/>
      <c r="B25" s="43"/>
      <c r="C25" s="20" t="s">
        <v>49</v>
      </c>
      <c r="D25" s="21">
        <v>1</v>
      </c>
      <c r="E25" s="22">
        <f>+D21-D22-D23</f>
        <v>1804842.3529411764</v>
      </c>
      <c r="F25" s="23" t="s">
        <v>56</v>
      </c>
      <c r="G25" s="43"/>
      <c r="H25" s="51"/>
      <c r="I25" s="51"/>
      <c r="J25" s="43"/>
      <c r="K25" s="51"/>
      <c r="L25" s="9"/>
      <c r="N25" s="9"/>
    </row>
    <row r="26" spans="1:14" s="5" customFormat="1" ht="18.95" customHeight="1" x14ac:dyDescent="0.25">
      <c r="A26" s="114" t="s">
        <v>60</v>
      </c>
      <c r="B26" s="43"/>
      <c r="C26" s="47" t="s">
        <v>16</v>
      </c>
      <c r="D26" s="77">
        <v>0.8</v>
      </c>
      <c r="E26" s="78">
        <f>+$E$25*D26</f>
        <v>1443873.8823529412</v>
      </c>
      <c r="F26" s="79">
        <f>+D20*D26</f>
        <v>1200</v>
      </c>
      <c r="G26" s="43"/>
      <c r="H26" s="51"/>
      <c r="I26" s="51"/>
      <c r="J26" s="43"/>
      <c r="K26" s="51"/>
      <c r="L26" s="9"/>
      <c r="N26" s="9"/>
    </row>
    <row r="27" spans="1:14" s="5" customFormat="1" ht="18.95" customHeight="1" thickBot="1" x14ac:dyDescent="0.3">
      <c r="A27" s="114" t="s">
        <v>59</v>
      </c>
      <c r="B27" s="43"/>
      <c r="C27" s="80" t="s">
        <v>14</v>
      </c>
      <c r="D27" s="81">
        <f>+D25-D26</f>
        <v>0.19999999999999996</v>
      </c>
      <c r="E27" s="82">
        <f>+$E$25*D27</f>
        <v>360968.47058823518</v>
      </c>
      <c r="F27" s="83">
        <f>+D20*D27</f>
        <v>299.99999999999994</v>
      </c>
      <c r="G27" s="43"/>
      <c r="H27" s="51"/>
      <c r="I27" s="51"/>
      <c r="J27" s="43"/>
      <c r="K27" s="51"/>
      <c r="L27" s="9"/>
      <c r="N27" s="9"/>
    </row>
    <row r="28" spans="1:14" s="5" customFormat="1" ht="9.9499999999999993" customHeight="1" thickBot="1" x14ac:dyDescent="0.3">
      <c r="A28" s="114"/>
      <c r="B28" s="43"/>
      <c r="C28" s="43"/>
      <c r="D28" s="44"/>
      <c r="E28" s="44"/>
      <c r="F28" s="43"/>
      <c r="G28" s="43"/>
      <c r="H28" s="43"/>
      <c r="I28" s="43"/>
      <c r="J28" s="43"/>
      <c r="K28" s="51"/>
      <c r="L28" s="9"/>
      <c r="N28" s="9"/>
    </row>
    <row r="29" spans="1:14" s="5" customFormat="1" ht="18.95" customHeight="1" x14ac:dyDescent="0.25">
      <c r="A29" s="114" t="s">
        <v>62</v>
      </c>
      <c r="B29" s="43"/>
      <c r="C29" s="20" t="s">
        <v>50</v>
      </c>
      <c r="D29" s="35" t="s">
        <v>61</v>
      </c>
      <c r="E29" s="36">
        <f>+E32+E35</f>
        <v>81175.222685308181</v>
      </c>
      <c r="F29" s="43"/>
      <c r="G29" s="61"/>
      <c r="H29" s="51"/>
      <c r="I29" s="61"/>
      <c r="J29" s="43"/>
      <c r="K29" s="61"/>
    </row>
    <row r="30" spans="1:14" s="5" customFormat="1" ht="18.95" customHeight="1" x14ac:dyDescent="0.25">
      <c r="A30" s="114"/>
      <c r="B30" s="43"/>
      <c r="C30" s="45" t="s">
        <v>16</v>
      </c>
      <c r="D30" s="84"/>
      <c r="E30" s="85"/>
      <c r="F30" s="43"/>
      <c r="G30" s="61"/>
      <c r="H30" s="51"/>
      <c r="I30" s="61"/>
      <c r="J30" s="43"/>
      <c r="K30" s="61"/>
    </row>
    <row r="31" spans="1:14" s="5" customFormat="1" ht="18.95" customHeight="1" x14ac:dyDescent="0.25">
      <c r="A31" s="114"/>
      <c r="B31" s="43"/>
      <c r="C31" s="47" t="s">
        <v>6</v>
      </c>
      <c r="D31" s="77">
        <v>0.02</v>
      </c>
      <c r="E31" s="46"/>
      <c r="F31" s="43"/>
      <c r="G31" s="43"/>
      <c r="H31" s="43"/>
      <c r="I31" s="43"/>
      <c r="J31" s="43"/>
      <c r="K31" s="43"/>
    </row>
    <row r="32" spans="1:14" s="5" customFormat="1" ht="18.95" customHeight="1" x14ac:dyDescent="0.25">
      <c r="A32" s="114" t="s">
        <v>63</v>
      </c>
      <c r="B32" s="43"/>
      <c r="C32" s="47" t="s">
        <v>3</v>
      </c>
      <c r="D32" s="86">
        <f>E32/E26</f>
        <v>5.122043841739473E-2</v>
      </c>
      <c r="E32" s="87">
        <f>E26*((((1+D31)^D14)*D31)/(((1+D31)^D14)-1))</f>
        <v>73955.853273543471</v>
      </c>
      <c r="F32" s="43"/>
      <c r="G32" s="43"/>
      <c r="H32" s="43"/>
      <c r="I32" s="43"/>
      <c r="J32" s="43"/>
      <c r="K32" s="43"/>
    </row>
    <row r="33" spans="1:18" s="5" customFormat="1" ht="18.95" customHeight="1" x14ac:dyDescent="0.25">
      <c r="A33" s="114"/>
      <c r="B33" s="43"/>
      <c r="C33" s="47" t="s">
        <v>13</v>
      </c>
      <c r="D33" s="86">
        <f>E33/E26</f>
        <v>3.122043841739473E-2</v>
      </c>
      <c r="E33" s="88">
        <f>+E32-(E26*D31)</f>
        <v>45078.375626484645</v>
      </c>
      <c r="F33" s="43"/>
      <c r="G33" s="43"/>
      <c r="H33" s="43"/>
      <c r="I33" s="43"/>
      <c r="J33" s="43"/>
      <c r="K33" s="43"/>
    </row>
    <row r="34" spans="1:18" s="5" customFormat="1" ht="18.95" customHeight="1" x14ac:dyDescent="0.25">
      <c r="A34" s="114"/>
      <c r="B34" s="43"/>
      <c r="C34" s="45" t="s">
        <v>14</v>
      </c>
      <c r="D34" s="84"/>
      <c r="E34" s="85"/>
      <c r="F34" s="43"/>
      <c r="G34" s="61"/>
      <c r="H34" s="43"/>
      <c r="I34" s="43"/>
      <c r="J34" s="43"/>
      <c r="K34" s="61"/>
    </row>
    <row r="35" spans="1:18" s="5" customFormat="1" ht="18.95" customHeight="1" thickBot="1" x14ac:dyDescent="0.3">
      <c r="A35" s="114" t="s">
        <v>65</v>
      </c>
      <c r="B35" s="43"/>
      <c r="C35" s="80" t="s">
        <v>64</v>
      </c>
      <c r="D35" s="89">
        <v>0.02</v>
      </c>
      <c r="E35" s="90">
        <f>E27*D35</f>
        <v>7219.3694117647037</v>
      </c>
      <c r="F35" s="43"/>
      <c r="G35" s="43"/>
      <c r="H35" s="43"/>
      <c r="I35" s="43"/>
      <c r="J35" s="43"/>
      <c r="K35" s="43"/>
    </row>
    <row r="36" spans="1:18" s="5" customFormat="1" ht="9.9499999999999993" customHeight="1" thickBot="1" x14ac:dyDescent="0.3">
      <c r="A36" s="114"/>
      <c r="B36" s="43"/>
      <c r="C36" s="43"/>
      <c r="D36" s="44"/>
      <c r="E36" s="44"/>
      <c r="F36" s="43"/>
      <c r="G36" s="43"/>
      <c r="H36" s="43"/>
      <c r="I36" s="43"/>
      <c r="J36" s="43"/>
      <c r="K36" s="51"/>
      <c r="L36" s="9"/>
      <c r="N36" s="9"/>
    </row>
    <row r="37" spans="1:18" s="5" customFormat="1" ht="18.95" customHeight="1" x14ac:dyDescent="0.25">
      <c r="A37" s="114" t="s">
        <v>66</v>
      </c>
      <c r="B37" s="43"/>
      <c r="C37" s="20" t="s">
        <v>51</v>
      </c>
      <c r="D37" s="35" t="s">
        <v>61</v>
      </c>
      <c r="E37" s="36">
        <f>+E38+E41+E42+E43</f>
        <v>38756.077124183008</v>
      </c>
      <c r="F37" s="43"/>
      <c r="G37" s="126" t="s">
        <v>34</v>
      </c>
      <c r="H37" s="127"/>
      <c r="I37" s="127"/>
      <c r="J37" s="128"/>
      <c r="K37" s="43"/>
      <c r="L37" s="10"/>
      <c r="N37" s="10"/>
      <c r="O37" s="14"/>
    </row>
    <row r="38" spans="1:18" s="5" customFormat="1" ht="18.95" customHeight="1" x14ac:dyDescent="0.25">
      <c r="A38" s="114"/>
      <c r="B38" s="43"/>
      <c r="C38" s="45" t="s">
        <v>35</v>
      </c>
      <c r="D38" s="77">
        <v>0.02</v>
      </c>
      <c r="E38" s="91">
        <f>+D38*H7*12</f>
        <v>171.60000000000002</v>
      </c>
      <c r="F38" s="43"/>
      <c r="G38" s="140" t="s">
        <v>2</v>
      </c>
      <c r="H38" s="141"/>
      <c r="I38" s="133"/>
      <c r="J38" s="134"/>
      <c r="K38" s="92"/>
      <c r="L38" s="9"/>
      <c r="N38" s="9"/>
    </row>
    <row r="39" spans="1:18" s="5" customFormat="1" ht="18.95" customHeight="1" x14ac:dyDescent="0.25">
      <c r="A39" s="114"/>
      <c r="B39" s="43"/>
      <c r="C39" s="47" t="s">
        <v>17</v>
      </c>
      <c r="D39" s="93">
        <v>9</v>
      </c>
      <c r="E39" s="94">
        <f>(E6*D39)</f>
        <v>9000</v>
      </c>
      <c r="F39" s="43"/>
      <c r="G39" s="135">
        <v>8.7799999999999994</v>
      </c>
      <c r="H39" s="136"/>
      <c r="I39" s="48" t="s">
        <v>36</v>
      </c>
      <c r="J39" s="95"/>
      <c r="K39" s="96"/>
      <c r="L39" s="9"/>
      <c r="N39" s="9"/>
      <c r="O39" s="15"/>
    </row>
    <row r="40" spans="1:18" ht="18.95" customHeight="1" x14ac:dyDescent="0.25">
      <c r="A40" s="112"/>
      <c r="B40" s="41"/>
      <c r="C40" s="129" t="s">
        <v>18</v>
      </c>
      <c r="D40" s="130"/>
      <c r="E40" s="97" t="s">
        <v>7</v>
      </c>
      <c r="F40" s="41"/>
      <c r="G40" s="135">
        <v>11.14</v>
      </c>
      <c r="H40" s="136"/>
      <c r="I40" s="48" t="s">
        <v>39</v>
      </c>
      <c r="J40" s="95"/>
      <c r="K40" s="96"/>
      <c r="L40" s="9"/>
      <c r="M40" s="16"/>
      <c r="N40" s="9"/>
      <c r="O40" s="13"/>
    </row>
    <row r="41" spans="1:18" ht="18.95" customHeight="1" x14ac:dyDescent="0.25">
      <c r="A41" s="112"/>
      <c r="B41" s="41"/>
      <c r="C41" s="45" t="s">
        <v>2</v>
      </c>
      <c r="D41" s="48"/>
      <c r="E41" s="91">
        <f>IF(E40="ja",(E39-(1.3*(E6))),E39)</f>
        <v>9000</v>
      </c>
      <c r="F41" s="41"/>
      <c r="G41" s="135">
        <v>14.23</v>
      </c>
      <c r="H41" s="136"/>
      <c r="I41" s="48" t="s">
        <v>40</v>
      </c>
      <c r="J41" s="95"/>
      <c r="K41" s="96"/>
      <c r="L41" s="9"/>
      <c r="N41" s="9"/>
      <c r="O41" s="13"/>
    </row>
    <row r="42" spans="1:18" s="5" customFormat="1" ht="18.95" customHeight="1" thickBot="1" x14ac:dyDescent="0.3">
      <c r="A42" s="114"/>
      <c r="B42" s="43"/>
      <c r="C42" s="45" t="s">
        <v>37</v>
      </c>
      <c r="D42" s="93">
        <v>3</v>
      </c>
      <c r="E42" s="91">
        <f>E6*D42</f>
        <v>3000</v>
      </c>
      <c r="F42" s="43"/>
      <c r="G42" s="137" t="s">
        <v>37</v>
      </c>
      <c r="H42" s="138"/>
      <c r="I42" s="131">
        <v>284.62</v>
      </c>
      <c r="J42" s="132"/>
      <c r="K42" s="43"/>
      <c r="L42" s="9"/>
      <c r="N42" s="9"/>
      <c r="O42" s="13"/>
    </row>
    <row r="43" spans="1:18" s="5" customFormat="1" ht="18.95" customHeight="1" thickBot="1" x14ac:dyDescent="0.3">
      <c r="A43" s="114"/>
      <c r="B43" s="43"/>
      <c r="C43" s="59" t="s">
        <v>71</v>
      </c>
      <c r="D43" s="98"/>
      <c r="E43" s="90">
        <f>(D21*D13)*(D6/D9)</f>
        <v>26584.477124183006</v>
      </c>
      <c r="F43" s="43"/>
      <c r="G43" s="61"/>
      <c r="H43" s="61"/>
      <c r="I43" s="99"/>
      <c r="J43" s="99"/>
      <c r="K43" s="43"/>
      <c r="L43" s="9"/>
      <c r="N43" s="9"/>
      <c r="O43" s="29"/>
    </row>
    <row r="44" spans="1:18" s="5" customFormat="1" ht="9.9499999999999993" customHeight="1" thickBot="1" x14ac:dyDescent="0.3">
      <c r="A44" s="114"/>
      <c r="B44" s="43"/>
      <c r="C44" s="43"/>
      <c r="D44" s="44"/>
      <c r="E44" s="44"/>
      <c r="F44" s="43"/>
      <c r="G44" s="43"/>
      <c r="H44" s="43"/>
      <c r="I44" s="43"/>
      <c r="J44" s="43"/>
      <c r="K44" s="51"/>
      <c r="L44" s="9"/>
      <c r="N44" s="9"/>
    </row>
    <row r="45" spans="1:18" s="5" customFormat="1" ht="18.95" customHeight="1" x14ac:dyDescent="0.25">
      <c r="A45" s="114" t="s">
        <v>67</v>
      </c>
      <c r="B45" s="43"/>
      <c r="C45" s="20" t="s">
        <v>52</v>
      </c>
      <c r="D45" s="35" t="s">
        <v>61</v>
      </c>
      <c r="E45" s="36">
        <f>+E46+E49+E50+E51</f>
        <v>3483.6775599128541</v>
      </c>
      <c r="F45" s="43"/>
      <c r="G45" s="139" t="s">
        <v>38</v>
      </c>
      <c r="H45" s="139"/>
      <c r="I45" s="139"/>
      <c r="J45" s="139"/>
      <c r="K45" s="51"/>
      <c r="L45" s="10"/>
      <c r="N45" s="10"/>
    </row>
    <row r="46" spans="1:18" s="5" customFormat="1" ht="18.95" customHeight="1" x14ac:dyDescent="0.25">
      <c r="A46" s="114"/>
      <c r="B46" s="43"/>
      <c r="C46" s="45" t="s">
        <v>15</v>
      </c>
      <c r="D46" s="77">
        <v>0.02</v>
      </c>
      <c r="E46" s="91">
        <f>(H8)*D46*12</f>
        <v>288</v>
      </c>
      <c r="F46" s="43"/>
      <c r="G46" s="43"/>
      <c r="H46" s="43"/>
      <c r="I46" s="43"/>
      <c r="J46" s="43"/>
      <c r="K46" s="51"/>
      <c r="L46" s="9"/>
      <c r="N46" s="9"/>
    </row>
    <row r="47" spans="1:18" s="5" customFormat="1" ht="18.95" customHeight="1" x14ac:dyDescent="0.25">
      <c r="A47" s="114"/>
      <c r="B47" s="43"/>
      <c r="C47" s="47" t="s">
        <v>17</v>
      </c>
      <c r="D47" s="77">
        <v>0.01</v>
      </c>
      <c r="E47" s="94">
        <f>((D21*(E8/E9))*D47)</f>
        <v>1417.8387799564268</v>
      </c>
      <c r="F47" s="43"/>
      <c r="G47" s="43"/>
      <c r="H47" s="43"/>
      <c r="I47" s="43"/>
      <c r="J47" s="43"/>
      <c r="K47" s="51"/>
      <c r="L47" s="10"/>
      <c r="N47" s="10"/>
    </row>
    <row r="48" spans="1:18" ht="18.95" customHeight="1" x14ac:dyDescent="0.25">
      <c r="A48" s="112"/>
      <c r="B48" s="41"/>
      <c r="C48" s="47" t="s">
        <v>28</v>
      </c>
      <c r="D48" s="77">
        <v>0.5</v>
      </c>
      <c r="E48" s="46"/>
      <c r="F48" s="41"/>
      <c r="G48" s="41"/>
      <c r="H48" s="41"/>
      <c r="I48" s="41"/>
      <c r="J48" s="41"/>
      <c r="K48" s="51"/>
      <c r="L48" s="9"/>
      <c r="N48" s="9"/>
      <c r="O48" s="5"/>
      <c r="P48" s="5"/>
      <c r="Q48" s="5"/>
      <c r="R48" s="5"/>
    </row>
    <row r="49" spans="1:18" ht="18.95" customHeight="1" x14ac:dyDescent="0.25">
      <c r="A49" s="112"/>
      <c r="B49" s="41"/>
      <c r="C49" s="45" t="s">
        <v>2</v>
      </c>
      <c r="D49" s="48"/>
      <c r="E49" s="91">
        <f>+E47-(E47*D48)</f>
        <v>708.91938997821342</v>
      </c>
      <c r="F49" s="41"/>
      <c r="G49" s="41"/>
      <c r="H49" s="41"/>
      <c r="I49" s="41"/>
      <c r="J49" s="41"/>
      <c r="K49" s="51"/>
      <c r="N49" s="5"/>
    </row>
    <row r="50" spans="1:18" s="5" customFormat="1" ht="18.95" customHeight="1" x14ac:dyDescent="0.25">
      <c r="A50" s="114"/>
      <c r="B50" s="43"/>
      <c r="C50" s="45" t="s">
        <v>37</v>
      </c>
      <c r="D50" s="100">
        <f>+D42*1.5</f>
        <v>4.5</v>
      </c>
      <c r="E50" s="91">
        <f>(E8)*D50</f>
        <v>360</v>
      </c>
      <c r="F50" s="43"/>
      <c r="G50" s="43"/>
      <c r="H50" s="43"/>
      <c r="I50" s="43"/>
      <c r="J50" s="43"/>
      <c r="K50" s="51"/>
      <c r="O50" s="4"/>
      <c r="P50" s="4"/>
      <c r="Q50" s="4"/>
      <c r="R50" s="4"/>
    </row>
    <row r="51" spans="1:18" s="5" customFormat="1" ht="18.95" customHeight="1" thickBot="1" x14ac:dyDescent="0.3">
      <c r="A51" s="114"/>
      <c r="B51" s="43"/>
      <c r="C51" s="115" t="s">
        <v>74</v>
      </c>
      <c r="D51" s="98"/>
      <c r="E51" s="90">
        <f>(D21*D13)*(D8/D9)</f>
        <v>2126.7581699346406</v>
      </c>
      <c r="F51" s="43"/>
      <c r="G51" s="43"/>
      <c r="H51" s="43"/>
      <c r="I51" s="43"/>
      <c r="J51" s="43"/>
      <c r="K51" s="51"/>
      <c r="O51" s="28"/>
      <c r="P51" s="28"/>
      <c r="Q51" s="28"/>
      <c r="R51" s="28"/>
    </row>
    <row r="52" spans="1:18" s="5" customFormat="1" ht="9.9499999999999993" customHeight="1" thickBot="1" x14ac:dyDescent="0.3">
      <c r="A52" s="114"/>
      <c r="B52" s="43"/>
      <c r="C52" s="43"/>
      <c r="D52" s="64"/>
      <c r="E52" s="44"/>
      <c r="F52" s="43"/>
      <c r="G52" s="43"/>
      <c r="H52" s="43"/>
      <c r="I52" s="43"/>
      <c r="J52" s="43"/>
      <c r="K52" s="101"/>
      <c r="L52" s="18"/>
      <c r="M52" s="17"/>
      <c r="N52" s="18"/>
      <c r="O52" s="19"/>
      <c r="P52" s="19"/>
      <c r="Q52" s="19"/>
      <c r="R52" s="19"/>
    </row>
    <row r="53" spans="1:18" s="5" customFormat="1" ht="18.95" customHeight="1" thickBot="1" x14ac:dyDescent="0.3">
      <c r="A53" s="114"/>
      <c r="B53" s="43"/>
      <c r="C53" s="102" t="s">
        <v>31</v>
      </c>
      <c r="D53" s="103"/>
      <c r="E53" s="104">
        <f>+D11*D12</f>
        <v>15800</v>
      </c>
      <c r="F53" s="43"/>
      <c r="G53" s="43"/>
      <c r="H53" s="43"/>
      <c r="I53" s="43"/>
      <c r="J53" s="43"/>
      <c r="K53" s="51"/>
      <c r="L53" s="9"/>
      <c r="N53" s="9"/>
    </row>
    <row r="54" spans="1:18" s="5" customFormat="1" ht="9.9499999999999993" customHeight="1" thickBot="1" x14ac:dyDescent="0.3">
      <c r="A54" s="114"/>
      <c r="B54" s="43"/>
      <c r="C54" s="43"/>
      <c r="D54" s="44"/>
      <c r="E54" s="44"/>
      <c r="F54" s="43"/>
      <c r="G54" s="43"/>
      <c r="H54" s="43"/>
      <c r="I54" s="43"/>
      <c r="J54" s="43"/>
      <c r="K54" s="51"/>
      <c r="L54" s="9"/>
      <c r="N54" s="9"/>
    </row>
    <row r="55" spans="1:18" s="5" customFormat="1" ht="18.95" customHeight="1" x14ac:dyDescent="0.25">
      <c r="A55" s="114"/>
      <c r="B55" s="43"/>
      <c r="C55" s="126" t="s">
        <v>53</v>
      </c>
      <c r="D55" s="127"/>
      <c r="E55" s="128"/>
      <c r="F55" s="43"/>
      <c r="G55" s="61"/>
      <c r="H55" s="43"/>
      <c r="I55" s="43"/>
      <c r="J55" s="61"/>
      <c r="K55" s="51"/>
      <c r="L55" s="10"/>
      <c r="N55" s="10"/>
    </row>
    <row r="56" spans="1:18" s="5" customFormat="1" ht="18.95" customHeight="1" x14ac:dyDescent="0.25">
      <c r="A56" s="114"/>
      <c r="B56" s="43"/>
      <c r="C56" s="47" t="s">
        <v>32</v>
      </c>
      <c r="D56" s="78"/>
      <c r="E56" s="94">
        <f>((-H9*12)+E29+E37+E45+E53)</f>
        <v>116234.97736940405</v>
      </c>
      <c r="F56" s="43"/>
      <c r="G56" s="61"/>
      <c r="H56" s="43"/>
      <c r="I56" s="43"/>
      <c r="J56" s="61"/>
      <c r="K56" s="51"/>
      <c r="L56" s="10"/>
      <c r="N56" s="10"/>
    </row>
    <row r="57" spans="1:18" s="5" customFormat="1" ht="18.95" customHeight="1" thickBot="1" x14ac:dyDescent="0.3">
      <c r="A57" s="114"/>
      <c r="B57" s="43"/>
      <c r="C57" s="59" t="s">
        <v>33</v>
      </c>
      <c r="D57" s="98"/>
      <c r="E57" s="105">
        <f>((E56/12)/(E6-E7))</f>
        <v>10.883424847322477</v>
      </c>
      <c r="F57" s="43"/>
      <c r="G57" s="43"/>
      <c r="H57" s="43"/>
      <c r="I57" s="43"/>
      <c r="J57" s="43"/>
      <c r="K57" s="51"/>
      <c r="L57" s="9"/>
      <c r="N57" s="9"/>
    </row>
    <row r="58" spans="1:18" ht="9.9499999999999993" customHeight="1" x14ac:dyDescent="0.25">
      <c r="A58" s="112"/>
      <c r="B58" s="41"/>
      <c r="C58" s="41"/>
      <c r="D58" s="42"/>
      <c r="E58" s="42"/>
      <c r="F58" s="41"/>
      <c r="G58" s="41"/>
      <c r="H58" s="41"/>
      <c r="I58" s="41"/>
      <c r="J58" s="41"/>
      <c r="K58" s="51"/>
    </row>
    <row r="59" spans="1:18" ht="18.95" customHeight="1" x14ac:dyDescent="0.25">
      <c r="A59" s="112"/>
      <c r="B59" s="41"/>
      <c r="C59" s="106" t="s">
        <v>0</v>
      </c>
      <c r="D59" s="42"/>
      <c r="E59" s="42"/>
      <c r="F59" s="41"/>
      <c r="G59" s="43"/>
      <c r="H59" s="41"/>
      <c r="I59" s="41"/>
      <c r="J59" s="43"/>
      <c r="K59" s="51"/>
      <c r="N59" s="5"/>
    </row>
    <row r="60" spans="1:18" ht="9.9499999999999993" customHeight="1" thickBot="1" x14ac:dyDescent="0.3">
      <c r="A60" s="112"/>
      <c r="B60" s="41"/>
      <c r="C60" s="41"/>
      <c r="D60" s="42"/>
      <c r="E60" s="41"/>
      <c r="F60" s="41"/>
      <c r="G60" s="43"/>
      <c r="H60" s="43"/>
      <c r="I60" s="43"/>
      <c r="J60" s="43"/>
      <c r="K60" s="43"/>
      <c r="N60" s="5"/>
    </row>
    <row r="61" spans="1:18" s="5" customFormat="1" ht="18.95" customHeight="1" x14ac:dyDescent="0.25">
      <c r="A61" s="114"/>
      <c r="B61" s="43"/>
      <c r="C61" s="126" t="s">
        <v>12</v>
      </c>
      <c r="D61" s="127"/>
      <c r="E61" s="128"/>
      <c r="F61" s="43"/>
      <c r="G61" s="61"/>
      <c r="H61" s="43"/>
      <c r="I61" s="43"/>
      <c r="J61" s="61"/>
      <c r="K61" s="51"/>
      <c r="L61" s="10"/>
      <c r="N61" s="10"/>
    </row>
    <row r="62" spans="1:18" s="5" customFormat="1" ht="18.95" customHeight="1" x14ac:dyDescent="0.25">
      <c r="A62" s="114"/>
      <c r="B62" s="43"/>
      <c r="C62" s="47" t="s">
        <v>8</v>
      </c>
      <c r="D62" s="107">
        <f>E57*E62</f>
        <v>380.91986965628666</v>
      </c>
      <c r="E62" s="108">
        <v>35</v>
      </c>
      <c r="F62" s="43"/>
      <c r="G62" s="43"/>
      <c r="H62" s="43"/>
      <c r="I62" s="43"/>
      <c r="J62" s="43"/>
      <c r="K62" s="51"/>
      <c r="L62" s="9"/>
      <c r="N62" s="9"/>
    </row>
    <row r="63" spans="1:18" s="5" customFormat="1" ht="18.95" customHeight="1" x14ac:dyDescent="0.25">
      <c r="A63" s="114"/>
      <c r="B63" s="43"/>
      <c r="C63" s="47" t="s">
        <v>9</v>
      </c>
      <c r="D63" s="107">
        <f>E57*E63</f>
        <v>511.5209678241564</v>
      </c>
      <c r="E63" s="108">
        <v>47</v>
      </c>
      <c r="F63" s="43"/>
      <c r="G63" s="43"/>
      <c r="H63" s="43"/>
      <c r="I63" s="43"/>
      <c r="J63" s="43"/>
      <c r="K63" s="51"/>
      <c r="L63" s="9"/>
      <c r="N63" s="9"/>
    </row>
    <row r="64" spans="1:18" s="5" customFormat="1" ht="18.95" customHeight="1" x14ac:dyDescent="0.25">
      <c r="A64" s="114"/>
      <c r="B64" s="43"/>
      <c r="C64" s="47" t="s">
        <v>10</v>
      </c>
      <c r="D64" s="107">
        <f>E57*E64</f>
        <v>576.82151690809133</v>
      </c>
      <c r="E64" s="108">
        <v>53</v>
      </c>
      <c r="F64" s="43"/>
      <c r="G64" s="43"/>
      <c r="H64" s="43"/>
      <c r="I64" s="43"/>
      <c r="J64" s="43"/>
      <c r="K64" s="51"/>
      <c r="L64" s="9"/>
      <c r="N64" s="9"/>
    </row>
    <row r="65" spans="1:14" s="5" customFormat="1" ht="18.95" customHeight="1" thickBot="1" x14ac:dyDescent="0.3">
      <c r="A65" s="114"/>
      <c r="B65" s="43"/>
      <c r="C65" s="80" t="s">
        <v>11</v>
      </c>
      <c r="D65" s="109">
        <f>E57*E65</f>
        <v>653.00549083934857</v>
      </c>
      <c r="E65" s="110">
        <v>60</v>
      </c>
      <c r="F65" s="43"/>
      <c r="G65" s="43"/>
      <c r="H65" s="43"/>
      <c r="I65" s="43"/>
      <c r="J65" s="43"/>
      <c r="K65" s="51"/>
      <c r="L65" s="9"/>
      <c r="N65" s="9"/>
    </row>
    <row r="66" spans="1:14" x14ac:dyDescent="0.25">
      <c r="A66" s="112"/>
      <c r="B66" s="41"/>
      <c r="C66" s="41"/>
      <c r="D66" s="42"/>
      <c r="E66" s="42"/>
      <c r="F66" s="41"/>
      <c r="G66" s="41"/>
      <c r="H66" s="41"/>
      <c r="I66" s="41"/>
      <c r="J66" s="41"/>
      <c r="K66" s="51"/>
      <c r="L66" s="9"/>
      <c r="N66" s="12"/>
    </row>
    <row r="67" spans="1:14" x14ac:dyDescent="0.25">
      <c r="A67" s="112"/>
      <c r="B67" s="41"/>
      <c r="C67" s="41"/>
      <c r="D67" s="42"/>
      <c r="E67" s="42"/>
      <c r="F67" s="41"/>
      <c r="G67" s="41"/>
      <c r="H67" s="41"/>
      <c r="I67" s="41"/>
      <c r="J67" s="41"/>
      <c r="K67" s="51"/>
    </row>
    <row r="68" spans="1:14" x14ac:dyDescent="0.25">
      <c r="A68" s="112"/>
      <c r="B68" s="41"/>
      <c r="C68" s="41"/>
      <c r="D68" s="42"/>
      <c r="E68" s="42"/>
      <c r="F68" s="41"/>
      <c r="G68" s="41"/>
      <c r="H68" s="41"/>
      <c r="I68" s="41"/>
      <c r="J68" s="41"/>
      <c r="K68" s="51"/>
    </row>
    <row r="69" spans="1:14" x14ac:dyDescent="0.25">
      <c r="A69" s="112"/>
      <c r="B69" s="41"/>
      <c r="C69" s="41"/>
      <c r="D69" s="42"/>
      <c r="E69" s="42"/>
      <c r="F69" s="41"/>
      <c r="G69" s="41"/>
      <c r="H69" s="41"/>
      <c r="I69" s="41"/>
      <c r="J69" s="41"/>
      <c r="K69" s="51"/>
    </row>
    <row r="70" spans="1:14" x14ac:dyDescent="0.25">
      <c r="A70" s="112"/>
      <c r="B70" s="41"/>
      <c r="C70" s="41"/>
      <c r="D70" s="42"/>
      <c r="E70" s="42"/>
      <c r="F70" s="41"/>
      <c r="G70" s="41"/>
      <c r="H70" s="41"/>
      <c r="I70" s="41"/>
      <c r="J70" s="41"/>
      <c r="K70" s="51"/>
    </row>
    <row r="71" spans="1:14" x14ac:dyDescent="0.25">
      <c r="A71" s="112"/>
      <c r="B71" s="41"/>
      <c r="C71" s="41"/>
      <c r="D71" s="42"/>
      <c r="E71" s="42"/>
      <c r="F71" s="41"/>
      <c r="G71" s="41"/>
      <c r="H71" s="41"/>
      <c r="I71" s="41"/>
      <c r="J71" s="41"/>
      <c r="K71" s="51"/>
    </row>
    <row r="72" spans="1:14" x14ac:dyDescent="0.25">
      <c r="A72" s="112"/>
      <c r="B72" s="41"/>
      <c r="C72" s="41"/>
      <c r="D72" s="42"/>
      <c r="E72" s="42"/>
      <c r="F72" s="41"/>
      <c r="G72" s="41"/>
      <c r="H72" s="41"/>
      <c r="I72" s="41"/>
      <c r="J72" s="41"/>
      <c r="K72" s="51"/>
    </row>
    <row r="73" spans="1:14" x14ac:dyDescent="0.25">
      <c r="A73" s="112"/>
      <c r="B73" s="41"/>
      <c r="C73" s="41"/>
      <c r="D73" s="42"/>
      <c r="E73" s="42"/>
      <c r="F73" s="41"/>
      <c r="G73" s="41"/>
      <c r="H73" s="41"/>
      <c r="I73" s="41"/>
      <c r="J73" s="41"/>
      <c r="K73" s="51"/>
    </row>
    <row r="74" spans="1:14" x14ac:dyDescent="0.25">
      <c r="A74" s="112"/>
      <c r="B74" s="41"/>
      <c r="C74" s="41"/>
      <c r="D74" s="42"/>
      <c r="E74" s="42"/>
      <c r="F74" s="41"/>
      <c r="G74" s="41"/>
      <c r="H74" s="41"/>
      <c r="I74" s="41"/>
      <c r="J74" s="41"/>
      <c r="K74" s="51"/>
    </row>
    <row r="75" spans="1:14" x14ac:dyDescent="0.25">
      <c r="A75" s="112"/>
      <c r="B75" s="41"/>
      <c r="C75" s="41"/>
      <c r="D75" s="42"/>
      <c r="E75" s="42"/>
      <c r="F75" s="41"/>
      <c r="G75" s="41"/>
      <c r="H75" s="41"/>
      <c r="I75" s="41"/>
      <c r="J75" s="41"/>
      <c r="K75" s="51"/>
    </row>
    <row r="76" spans="1:14" x14ac:dyDescent="0.25">
      <c r="A76" s="112"/>
      <c r="B76" s="41"/>
      <c r="C76" s="41"/>
      <c r="D76" s="42"/>
      <c r="E76" s="42"/>
      <c r="F76" s="41"/>
      <c r="G76" s="41"/>
      <c r="H76" s="41"/>
      <c r="I76" s="41"/>
      <c r="J76" s="41"/>
      <c r="K76" s="51"/>
    </row>
    <row r="77" spans="1:14" x14ac:dyDescent="0.25">
      <c r="A77" s="112"/>
      <c r="B77" s="41"/>
      <c r="C77" s="41"/>
      <c r="D77" s="42"/>
      <c r="E77" s="42"/>
      <c r="F77" s="41"/>
      <c r="G77" s="41"/>
      <c r="H77" s="41"/>
      <c r="I77" s="41"/>
      <c r="J77" s="41"/>
      <c r="K77" s="51"/>
    </row>
  </sheetData>
  <sheetProtection algorithmName="SHA-512" hashValue="bBpn7CuRdf/uRO3Q4wy3ysYo66SLs+EXBGxJRACbPxTlVv/wlDxL7qlARFCEts5mS41Kn4fsv2UspYJkQUvE8Q==" saltValue="X7LzQFW4RJpv02MqA1zHbQ==" spinCount="100000" sheet="1" objects="1" scenarios="1"/>
  <protectedRanges>
    <protectedRange sqref="D4 D11 D14:D17 D20 D22:D23 D26 D31 D6:G8 D38:D39 E40 D42:D43 D46:D48 D50:D51 E62:E65" name="Bearbeiten"/>
  </protectedRanges>
  <mergeCells count="20">
    <mergeCell ref="H9:I9"/>
    <mergeCell ref="H4:I4"/>
    <mergeCell ref="C61:E61"/>
    <mergeCell ref="C40:D40"/>
    <mergeCell ref="C55:E55"/>
    <mergeCell ref="G37:J37"/>
    <mergeCell ref="I42:J42"/>
    <mergeCell ref="I38:J38"/>
    <mergeCell ref="G39:H39"/>
    <mergeCell ref="G41:H41"/>
    <mergeCell ref="G42:H42"/>
    <mergeCell ref="G45:J45"/>
    <mergeCell ref="G38:H38"/>
    <mergeCell ref="G40:H40"/>
    <mergeCell ref="H5:I5"/>
    <mergeCell ref="C3:J3"/>
    <mergeCell ref="D4:G4"/>
    <mergeCell ref="H6:I6"/>
    <mergeCell ref="H7:I7"/>
    <mergeCell ref="H8:I8"/>
  </mergeCells>
  <dataValidations count="4">
    <dataValidation type="decimal" allowBlank="1" showInputMessage="1" showErrorMessage="1" promptTitle="BEACHTEN" prompt="Abschreibung kann nur im Bereich von 1% bis 2% liegen_x000a_" sqref="D13">
      <formula1>0.01</formula1>
      <formula2>0.02</formula2>
    </dataValidation>
    <dataValidation allowBlank="1" showInputMessage="1" showErrorMessage="1" promptTitle="BEACHTEN" prompt="Mietfläche muss kleiner sein als BGF_x000a_" sqref="E6:E8"/>
    <dataValidation type="list" allowBlank="1" showInputMessage="1" showErrorMessage="1" sqref="E40">
      <formula1>"ja,nein"</formula1>
    </dataValidation>
    <dataValidation type="list" allowBlank="1" showInputMessage="1" showErrorMessage="1" sqref="D16">
      <formula1>"1,2,3"</formula1>
    </dataValidation>
  </dataValidations>
  <pageMargins left="0.39370078740157483" right="0.19685039370078741" top="0.39370078740157483" bottom="0.39370078740157483" header="0" footer="0.39370078740157483"/>
  <pageSetup paperSize="9" scale="76" orientation="portrait" r:id="rId1"/>
  <headerFooter>
    <oddFooter>&amp;R&amp;"-,Fett"&amp;10&amp;P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Kalkulation</vt:lpstr>
      <vt:lpstr>Kalkulation!Druckbereich</vt:lpstr>
      <vt:lpstr>Kalkulation!Drucktitel</vt:lpstr>
      <vt:lpstr>Übernahme_Instandhaltungen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Friedolin Knorn</dc:creator>
  <cp:lastModifiedBy>Friedolin Knorn</cp:lastModifiedBy>
  <cp:lastPrinted>2017-09-13T13:38:10Z</cp:lastPrinted>
  <dcterms:created xsi:type="dcterms:W3CDTF">2017-02-22T22:29:25Z</dcterms:created>
  <dcterms:modified xsi:type="dcterms:W3CDTF">2017-09-13T13:38:22Z</dcterms:modified>
</cp:coreProperties>
</file>